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Ägaren\Documents\Hans\"/>
    </mc:Choice>
  </mc:AlternateContent>
  <xr:revisionPtr revIDLastSave="0" documentId="13_ncr:1_{8EBF77EE-D01C-47A6-A71E-497BFE26F2AD}" xr6:coauthVersionLast="47" xr6:coauthVersionMax="47" xr10:uidLastSave="{00000000-0000-0000-0000-000000000000}"/>
  <bookViews>
    <workbookView xWindow="-108" yWindow="-108" windowWidth="23256" windowHeight="12576" xr2:uid="{5A7E6AB9-DC18-45E5-83A9-7F4C97BCE59F}"/>
  </bookViews>
  <sheets>
    <sheet name="Cylindrisk" sheetId="1" r:id="rId1"/>
    <sheet name="Konisk" sheetId="3" r:id="rId2"/>
  </sheets>
  <calcPr calcId="18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3" l="1"/>
  <c r="H13" i="3"/>
  <c r="F21" i="1"/>
  <c r="F22" i="1"/>
  <c r="F23" i="1"/>
  <c r="F24" i="1"/>
  <c r="F25" i="1"/>
  <c r="F26" i="1"/>
  <c r="F27" i="1"/>
  <c r="F28" i="1"/>
  <c r="F29" i="1"/>
  <c r="F30" i="1"/>
  <c r="F20" i="1"/>
  <c r="E33" i="3"/>
  <c r="E32" i="3"/>
  <c r="J32" i="3" s="1"/>
  <c r="E31" i="3"/>
  <c r="E30" i="3"/>
  <c r="J30" i="3" s="1"/>
  <c r="E29" i="3"/>
  <c r="E28" i="3"/>
  <c r="J28" i="3" s="1"/>
  <c r="E27" i="3"/>
  <c r="E26" i="3"/>
  <c r="J26" i="3" s="1"/>
  <c r="E25" i="3"/>
  <c r="E24" i="3"/>
  <c r="L23" i="3"/>
  <c r="E23" i="3"/>
  <c r="G23" i="3" s="1"/>
  <c r="H14" i="3"/>
  <c r="R10" i="3"/>
  <c r="R11" i="3" s="1"/>
  <c r="T11" i="1"/>
  <c r="R10" i="1"/>
  <c r="R11" i="1" s="1"/>
  <c r="H11" i="1"/>
  <c r="L20" i="1"/>
  <c r="E21" i="1"/>
  <c r="G21" i="1" s="1"/>
  <c r="E22" i="1"/>
  <c r="J22" i="1" s="1"/>
  <c r="E23" i="1"/>
  <c r="G23" i="1" s="1"/>
  <c r="E24" i="1"/>
  <c r="G24" i="1" s="1"/>
  <c r="E25" i="1"/>
  <c r="G25" i="1" s="1"/>
  <c r="E26" i="1"/>
  <c r="J26" i="1" s="1"/>
  <c r="E27" i="1"/>
  <c r="G27" i="1" s="1"/>
  <c r="E28" i="1"/>
  <c r="G28" i="1" s="1"/>
  <c r="E29" i="1"/>
  <c r="G29" i="1" s="1"/>
  <c r="E30" i="1"/>
  <c r="J30" i="1" s="1"/>
  <c r="E20" i="1"/>
  <c r="G20" i="1" s="1"/>
  <c r="J24" i="3" l="1"/>
  <c r="L24" i="3" s="1"/>
  <c r="F26" i="3"/>
  <c r="G26" i="3" s="1"/>
  <c r="H26" i="3" s="1"/>
  <c r="F30" i="3"/>
  <c r="G30" i="3" s="1"/>
  <c r="F27" i="3"/>
  <c r="G27" i="3" s="1"/>
  <c r="F31" i="3"/>
  <c r="G31" i="3" s="1"/>
  <c r="F24" i="3"/>
  <c r="G24" i="3" s="1"/>
  <c r="F28" i="3"/>
  <c r="G28" i="3" s="1"/>
  <c r="F32" i="3"/>
  <c r="G32" i="3" s="1"/>
  <c r="F25" i="3"/>
  <c r="G25" i="3" s="1"/>
  <c r="F29" i="3"/>
  <c r="G29" i="3" s="1"/>
  <c r="F33" i="3"/>
  <c r="G33" i="3" s="1"/>
  <c r="F23" i="3"/>
  <c r="K26" i="3"/>
  <c r="L26" i="3"/>
  <c r="K28" i="3"/>
  <c r="L28" i="3"/>
  <c r="K30" i="3"/>
  <c r="L30" i="3"/>
  <c r="H23" i="3"/>
  <c r="I23" i="3"/>
  <c r="K24" i="3"/>
  <c r="K32" i="3"/>
  <c r="L32" i="3"/>
  <c r="J25" i="3"/>
  <c r="K25" i="3" s="1"/>
  <c r="J27" i="3"/>
  <c r="K27" i="3" s="1"/>
  <c r="J29" i="3"/>
  <c r="K29" i="3" s="1"/>
  <c r="J31" i="3"/>
  <c r="K31" i="3" s="1"/>
  <c r="J33" i="3"/>
  <c r="K33" i="3" s="1"/>
  <c r="G30" i="1"/>
  <c r="G26" i="1"/>
  <c r="G22" i="1"/>
  <c r="I29" i="1"/>
  <c r="N29" i="1" s="1"/>
  <c r="I20" i="1"/>
  <c r="I28" i="1"/>
  <c r="N28" i="1" s="1"/>
  <c r="I23" i="1"/>
  <c r="N23" i="1" s="1"/>
  <c r="I25" i="1"/>
  <c r="N25" i="1" s="1"/>
  <c r="H27" i="1"/>
  <c r="I24" i="1"/>
  <c r="N24" i="1" s="1"/>
  <c r="H21" i="1"/>
  <c r="L26" i="1"/>
  <c r="K26" i="1"/>
  <c r="K22" i="1"/>
  <c r="L22" i="1"/>
  <c r="K30" i="1"/>
  <c r="L30" i="1"/>
  <c r="J28" i="1"/>
  <c r="M28" i="1" s="1"/>
  <c r="J24" i="1"/>
  <c r="J29" i="1"/>
  <c r="M29" i="1" s="1"/>
  <c r="J25" i="1"/>
  <c r="J21" i="1"/>
  <c r="J27" i="1"/>
  <c r="J23" i="1"/>
  <c r="H28" i="3" l="1"/>
  <c r="M25" i="1"/>
  <c r="M24" i="1"/>
  <c r="M23" i="1"/>
  <c r="I30" i="1"/>
  <c r="N30" i="1" s="1"/>
  <c r="I22" i="1"/>
  <c r="N22" i="1" s="1"/>
  <c r="H32" i="3"/>
  <c r="H24" i="3"/>
  <c r="H30" i="3"/>
  <c r="I27" i="3"/>
  <c r="I26" i="3"/>
  <c r="L29" i="3"/>
  <c r="I32" i="3"/>
  <c r="I24" i="3"/>
  <c r="L27" i="3"/>
  <c r="L33" i="3"/>
  <c r="L25" i="3"/>
  <c r="L31" i="3"/>
  <c r="I28" i="3"/>
  <c r="I30" i="3"/>
  <c r="N30" i="3" s="1"/>
  <c r="H31" i="3"/>
  <c r="H33" i="3"/>
  <c r="H25" i="3"/>
  <c r="I33" i="3"/>
  <c r="I25" i="3"/>
  <c r="H29" i="3"/>
  <c r="I29" i="3"/>
  <c r="H27" i="3"/>
  <c r="I31" i="3"/>
  <c r="I26" i="1"/>
  <c r="N26" i="1" s="1"/>
  <c r="K23" i="1"/>
  <c r="K29" i="1"/>
  <c r="K27" i="1"/>
  <c r="K24" i="1"/>
  <c r="L21" i="1"/>
  <c r="K28" i="1"/>
  <c r="L25" i="1"/>
  <c r="I21" i="1"/>
  <c r="N21" i="1" s="1"/>
  <c r="H20" i="1"/>
  <c r="I27" i="1"/>
  <c r="N27" i="1" s="1"/>
  <c r="L23" i="1"/>
  <c r="K25" i="1"/>
  <c r="L28" i="1"/>
  <c r="K21" i="1"/>
  <c r="L29" i="1"/>
  <c r="L27" i="1"/>
  <c r="L24" i="1"/>
  <c r="H24" i="1"/>
  <c r="H25" i="1"/>
  <c r="H26" i="1"/>
  <c r="H28" i="1"/>
  <c r="H23" i="1"/>
  <c r="H30" i="1"/>
  <c r="H22" i="1"/>
  <c r="H29" i="1"/>
  <c r="M30" i="3" l="1"/>
  <c r="M30" i="1"/>
  <c r="M21" i="1"/>
  <c r="M27" i="1"/>
  <c r="M22" i="1"/>
  <c r="M26" i="1"/>
  <c r="M31" i="3"/>
  <c r="N31" i="3"/>
  <c r="M25" i="3"/>
  <c r="N25" i="3"/>
  <c r="M33" i="3"/>
  <c r="N33" i="3"/>
  <c r="M32" i="3"/>
  <c r="N32" i="3"/>
  <c r="M29" i="3"/>
  <c r="N29" i="3"/>
  <c r="M28" i="3"/>
  <c r="N28" i="3"/>
  <c r="M26" i="3"/>
  <c r="N26" i="3"/>
  <c r="M24" i="3"/>
  <c r="N24" i="3"/>
  <c r="M27" i="3"/>
  <c r="N27" i="3"/>
</calcChain>
</file>

<file path=xl/sharedStrings.xml><?xml version="1.0" encoding="utf-8"?>
<sst xmlns="http://schemas.openxmlformats.org/spreadsheetml/2006/main" count="57" uniqueCount="34">
  <si>
    <t>P/D</t>
  </si>
  <si>
    <t>φ [grader]</t>
  </si>
  <si>
    <t>φ [rad]</t>
  </si>
  <si>
    <t>x [mm]</t>
  </si>
  <si>
    <t>P [mm]</t>
  </si>
  <si>
    <t>α [rad]</t>
  </si>
  <si>
    <t>α [grader]</t>
  </si>
  <si>
    <t>Cylinder</t>
  </si>
  <si>
    <t>Helix</t>
  </si>
  <si>
    <r>
      <rPr>
        <b/>
        <sz val="11"/>
        <color theme="1"/>
        <rFont val="Calibri"/>
        <family val="2"/>
        <scheme val="minor"/>
      </rPr>
      <t xml:space="preserve">Propellerdiameter D </t>
    </r>
    <r>
      <rPr>
        <sz val="11"/>
        <color theme="1"/>
        <rFont val="Calibri"/>
        <family val="2"/>
        <scheme val="minor"/>
      </rPr>
      <t>[mm]</t>
    </r>
  </si>
  <si>
    <r>
      <rPr>
        <b/>
        <sz val="11"/>
        <color theme="1"/>
        <rFont val="Calibri"/>
        <family val="2"/>
        <scheme val="minor"/>
      </rPr>
      <t>Vinkel vid nav</t>
    </r>
    <r>
      <rPr>
        <sz val="11"/>
        <color theme="1"/>
        <rFont val="Calibri"/>
        <family val="2"/>
        <scheme val="minor"/>
      </rPr>
      <t xml:space="preserve"> [grader]</t>
    </r>
  </si>
  <si>
    <t>Variabler</t>
  </si>
  <si>
    <t>Beräkningsvärden</t>
  </si>
  <si>
    <r>
      <rPr>
        <b/>
        <sz val="11"/>
        <color theme="1"/>
        <rFont val="Calibri"/>
        <family val="2"/>
        <scheme val="minor"/>
      </rPr>
      <t>Stigning P</t>
    </r>
    <r>
      <rPr>
        <sz val="11"/>
        <color theme="1"/>
        <rFont val="Calibri"/>
        <family val="2"/>
        <scheme val="minor"/>
      </rPr>
      <t xml:space="preserve"> [mm]</t>
    </r>
  </si>
  <si>
    <t>Primärdata</t>
  </si>
  <si>
    <r>
      <t xml:space="preserve">Cylinderns diameter </t>
    </r>
    <r>
      <rPr>
        <sz val="11"/>
        <color theme="1"/>
        <rFont val="Calibri"/>
        <family val="2"/>
        <scheme val="minor"/>
      </rPr>
      <t>[mm]</t>
    </r>
  </si>
  <si>
    <r>
      <rPr>
        <b/>
        <sz val="11"/>
        <color theme="1"/>
        <rFont val="Calibri"/>
        <family val="2"/>
        <scheme val="minor"/>
      </rPr>
      <t>Snedvinkel β</t>
    </r>
    <r>
      <rPr>
        <sz val="11"/>
        <color theme="1"/>
        <rFont val="Calibri"/>
        <family val="2"/>
        <scheme val="minor"/>
      </rPr>
      <t xml:space="preserve"> [grader]</t>
    </r>
  </si>
  <si>
    <r>
      <rPr>
        <b/>
        <sz val="11"/>
        <color theme="1"/>
        <rFont val="Calibri"/>
        <family val="2"/>
        <scheme val="minor"/>
      </rPr>
      <t>Radie vid nav</t>
    </r>
    <r>
      <rPr>
        <sz val="11"/>
        <color theme="1"/>
        <rFont val="Calibri"/>
        <family val="2"/>
        <scheme val="minor"/>
      </rPr>
      <t xml:space="preserve"> [mm]</t>
    </r>
  </si>
  <si>
    <t>Odefinierat</t>
  </si>
  <si>
    <r>
      <t>P</t>
    </r>
    <r>
      <rPr>
        <vertAlign val="subscript"/>
        <sz val="11"/>
        <color theme="1"/>
        <rFont val="Calibri"/>
        <family val="2"/>
      </rPr>
      <t>test</t>
    </r>
    <r>
      <rPr>
        <sz val="11"/>
        <color theme="1"/>
        <rFont val="Calibri"/>
        <family val="2"/>
      </rPr>
      <t xml:space="preserve"> [mm]</t>
    </r>
  </si>
  <si>
    <r>
      <t xml:space="preserve">Konens stora diameter </t>
    </r>
    <r>
      <rPr>
        <sz val="11"/>
        <color theme="1"/>
        <rFont val="Calibri"/>
        <family val="2"/>
        <scheme val="minor"/>
      </rPr>
      <t>[mm]</t>
    </r>
  </si>
  <si>
    <r>
      <t xml:space="preserve">Konens lilla diameter </t>
    </r>
    <r>
      <rPr>
        <sz val="11"/>
        <color theme="1"/>
        <rFont val="Calibri"/>
        <family val="2"/>
        <scheme val="minor"/>
      </rPr>
      <t>[mm]</t>
    </r>
  </si>
  <si>
    <r>
      <t xml:space="preserve">Konens höjd </t>
    </r>
    <r>
      <rPr>
        <sz val="11"/>
        <color theme="1"/>
        <rFont val="Calibri"/>
        <family val="2"/>
        <scheme val="minor"/>
      </rPr>
      <t>[mm]</t>
    </r>
  </si>
  <si>
    <t>Konisk</t>
  </si>
  <si>
    <t>[%]</t>
  </si>
  <si>
    <t>r(x) [mm]</t>
  </si>
  <si>
    <t>Cylindrisk</t>
  </si>
  <si>
    <t>r [mm]</t>
  </si>
  <si>
    <t>Radie propellerblad</t>
  </si>
  <si>
    <t>Kontroll</t>
  </si>
  <si>
    <r>
      <t>Konvinkel</t>
    </r>
    <r>
      <rPr>
        <sz val="11"/>
        <color theme="1"/>
        <rFont val="Calibri"/>
        <family val="2"/>
        <scheme val="minor"/>
      </rPr>
      <t xml:space="preserve"> [rad]</t>
    </r>
  </si>
  <si>
    <t>ΔP [%]</t>
  </si>
  <si>
    <t>Kon</t>
  </si>
  <si>
    <r>
      <rPr>
        <b/>
        <sz val="11"/>
        <color theme="1"/>
        <rFont val="Calibri"/>
        <family val="2"/>
        <scheme val="minor"/>
      </rPr>
      <t>Snedvinkel β'</t>
    </r>
    <r>
      <rPr>
        <sz val="11"/>
        <color theme="1"/>
        <rFont val="Calibri"/>
        <family val="2"/>
        <scheme val="minor"/>
      </rPr>
      <t xml:space="preserve"> [grader]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</si>
</sst>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5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2" xfId="0" applyFont="1" applyBorder="1"/>
    <xf numFmtId="0" fontId="0" fillId="6" borderId="3" xfId="0" applyFill="1" applyBorder="1"/>
    <xf numFmtId="164" fontId="0" fillId="0" borderId="4" xfId="0" applyNumberFormat="1" applyBorder="1"/>
    <xf numFmtId="165" fontId="0" fillId="0" borderId="0" xfId="0" applyNumberFormat="1" applyBorder="1"/>
    <xf numFmtId="164" fontId="0" fillId="0" borderId="5" xfId="0" applyNumberFormat="1" applyBorder="1"/>
    <xf numFmtId="1" fontId="0" fillId="0" borderId="3" xfId="0" applyNumberFormat="1" applyBorder="1"/>
    <xf numFmtId="1" fontId="0" fillId="0" borderId="2" xfId="0" applyNumberFormat="1" applyBorder="1"/>
    <xf numFmtId="0" fontId="0" fillId="8" borderId="0" xfId="0" applyFill="1"/>
    <xf numFmtId="0" fontId="1" fillId="11" borderId="8" xfId="0" applyFont="1" applyFill="1" applyBorder="1"/>
    <xf numFmtId="1" fontId="0" fillId="11" borderId="3" xfId="0" applyNumberFormat="1" applyFill="1" applyBorder="1"/>
    <xf numFmtId="2" fontId="0" fillId="0" borderId="1" xfId="0" applyNumberFormat="1" applyBorder="1"/>
    <xf numFmtId="0" fontId="0" fillId="0" borderId="1" xfId="0" applyFill="1" applyBorder="1"/>
    <xf numFmtId="0" fontId="0" fillId="0" borderId="4" xfId="0" applyBorder="1"/>
    <xf numFmtId="0" fontId="0" fillId="0" borderId="0" xfId="0" applyBorder="1"/>
    <xf numFmtId="0" fontId="0" fillId="7" borderId="0" xfId="0" applyFill="1" applyBorder="1"/>
    <xf numFmtId="0" fontId="2" fillId="0" borderId="4" xfId="0" applyFont="1" applyBorder="1"/>
    <xf numFmtId="0" fontId="2" fillId="0" borderId="5" xfId="0" applyFont="1" applyBorder="1"/>
    <xf numFmtId="0" fontId="0" fillId="5" borderId="3" xfId="0" applyFill="1" applyBorder="1"/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8" xfId="0" applyBorder="1"/>
    <xf numFmtId="0" fontId="0" fillId="0" borderId="5" xfId="0" applyBorder="1"/>
    <xf numFmtId="0" fontId="0" fillId="0" borderId="4" xfId="0" applyFont="1" applyBorder="1"/>
    <xf numFmtId="164" fontId="0" fillId="0" borderId="0" xfId="0" applyNumberFormat="1" applyFill="1" applyBorder="1"/>
    <xf numFmtId="165" fontId="0" fillId="0" borderId="3" xfId="0" applyNumberFormat="1" applyBorder="1"/>
    <xf numFmtId="165" fontId="0" fillId="0" borderId="2" xfId="0" applyNumberFormat="1" applyBorder="1"/>
    <xf numFmtId="1" fontId="0" fillId="11" borderId="8" xfId="0" applyNumberFormat="1" applyFill="1" applyBorder="1"/>
    <xf numFmtId="0" fontId="0" fillId="11" borderId="3" xfId="0" applyFill="1" applyBorder="1"/>
    <xf numFmtId="0" fontId="0" fillId="11" borderId="9" xfId="0" applyFill="1" applyBorder="1"/>
    <xf numFmtId="0" fontId="0" fillId="0" borderId="10" xfId="0" applyBorder="1"/>
    <xf numFmtId="1" fontId="0" fillId="0" borderId="10" xfId="0" applyNumberFormat="1" applyBorder="1"/>
    <xf numFmtId="1" fontId="0" fillId="0" borderId="8" xfId="0" applyNumberFormat="1" applyBorder="1"/>
    <xf numFmtId="0" fontId="1" fillId="0" borderId="8" xfId="0" applyFont="1" applyFill="1" applyBorder="1"/>
    <xf numFmtId="0" fontId="0" fillId="5" borderId="10" xfId="0" applyFill="1" applyBorder="1"/>
    <xf numFmtId="0" fontId="1" fillId="0" borderId="5" xfId="0" applyFont="1" applyFill="1" applyBorder="1"/>
    <xf numFmtId="1" fontId="0" fillId="0" borderId="5" xfId="0" applyNumberFormat="1" applyBorder="1"/>
    <xf numFmtId="165" fontId="0" fillId="0" borderId="4" xfId="0" applyNumberFormat="1" applyBorder="1"/>
    <xf numFmtId="0" fontId="2" fillId="0" borderId="10" xfId="0" applyFont="1" applyFill="1" applyBorder="1" applyAlignment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Anfallsvinkel längs bladet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220609346335433"/>
          <c:y val="0.16182373472949388"/>
          <c:w val="0.78614184963094214"/>
          <c:h val="0.64444455895892594"/>
        </c:manualLayout>
      </c:layout>
      <c:scatterChart>
        <c:scatterStyle val="lineMarker"/>
        <c:varyColors val="0"/>
        <c:ser>
          <c:idx val="0"/>
          <c:order val="0"/>
          <c:tx>
            <c:v>Helix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Cylindrisk!$D$20:$D$30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Cylindrisk!$K$20:$K$30</c:f>
              <c:numCache>
                <c:formatCode>0.0</c:formatCode>
                <c:ptCount val="11"/>
                <c:pt idx="1">
                  <c:v>77.352370302523511</c:v>
                </c:pt>
                <c:pt idx="2">
                  <c:v>65.829507062105279</c:v>
                </c:pt>
                <c:pt idx="3">
                  <c:v>56.051622172441036</c:v>
                </c:pt>
                <c:pt idx="4">
                  <c:v>48.088917137349483</c:v>
                </c:pt>
                <c:pt idx="5">
                  <c:v>41.709586541762711</c:v>
                </c:pt>
                <c:pt idx="6">
                  <c:v>36.60212427241504</c:v>
                </c:pt>
                <c:pt idx="7">
                  <c:v>32.481636590529753</c:v>
                </c:pt>
                <c:pt idx="8">
                  <c:v>29.119656621122978</c:v>
                </c:pt>
                <c:pt idx="9">
                  <c:v>26.342253285813975</c:v>
                </c:pt>
                <c:pt idx="10">
                  <c:v>24.019370424661108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CF-4591-A587-CCCAB880A879}"/>
            </c:ext>
          </c:extLst>
        </c:ser>
        <c:ser>
          <c:idx val="1"/>
          <c:order val="1"/>
          <c:tx>
            <c:v>Cylinder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Cylindrisk!$D$21:$D$30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Cylindrisk!$H$21:$H$30</c:f>
              <c:numCache>
                <c:formatCode>0.0</c:formatCode>
                <c:ptCount val="10"/>
                <c:pt idx="0">
                  <c:v>65</c:v>
                </c:pt>
                <c:pt idx="1">
                  <c:v>61.045536282138528</c:v>
                </c:pt>
                <c:pt idx="2">
                  <c:v>56.102456634811681</c:v>
                </c:pt>
                <c:pt idx="3">
                  <c:v>51.159376987484833</c:v>
                </c:pt>
                <c:pt idx="4">
                  <c:v>46.216297340157993</c:v>
                </c:pt>
                <c:pt idx="5">
                  <c:v>41.273217692831146</c:v>
                </c:pt>
                <c:pt idx="6">
                  <c:v>36.330138045504292</c:v>
                </c:pt>
                <c:pt idx="7">
                  <c:v>31.387058398177452</c:v>
                </c:pt>
                <c:pt idx="8">
                  <c:v>26.443978750850604</c:v>
                </c:pt>
                <c:pt idx="9">
                  <c:v>21.500899103523761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CF-4591-A587-CCCAB880A879}"/>
            </c:ext>
          </c:extLst>
        </c:ser>
        <c:ser>
          <c:idx val="2"/>
          <c:order val="2"/>
          <c:tx>
            <c:v>Infästning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Cylindrisk!$R$10:$R$11</c:f>
              <c:numCache>
                <c:formatCode>0.000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Cylindrisk!$S$10:$S$11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F3-4422-A6E0-F2CEFBAF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796592"/>
        <c:axId val="481795280"/>
      </c:scatterChart>
      <c:valAx>
        <c:axId val="48179659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Radie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95280"/>
        <c:crosses val="autoZero"/>
        <c:crossBetween val="midCat"/>
        <c:majorUnit val="10"/>
      </c:valAx>
      <c:valAx>
        <c:axId val="48179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Anfallsvinkel [grader]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96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49995571157512"/>
          <c:y val="0.18325699246043001"/>
          <c:w val="0.19641846500981339"/>
          <c:h val="0.23372739764870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Stigningsfördelning längs bladet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931402295461897"/>
          <c:y val="0.16056277056277057"/>
          <c:w val="0.74087547753878658"/>
          <c:h val="0.64721512083716803"/>
        </c:manualLayout>
      </c:layout>
      <c:scatterChart>
        <c:scatterStyle val="lineMarker"/>
        <c:varyColors val="0"/>
        <c:ser>
          <c:idx val="0"/>
          <c:order val="0"/>
          <c:tx>
            <c:v>Helix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Cylindrisk!$D$21:$D$30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Cylindrisk!$L$21:$L$30</c:f>
              <c:numCache>
                <c:formatCode>General</c:formatCode>
                <c:ptCount val="10"/>
                <c:pt idx="0">
                  <c:v>279.99999999999994</c:v>
                </c:pt>
                <c:pt idx="1">
                  <c:v>280</c:v>
                </c:pt>
                <c:pt idx="2">
                  <c:v>280.00000000000006</c:v>
                </c:pt>
                <c:pt idx="3">
                  <c:v>279.99999999999994</c:v>
                </c:pt>
                <c:pt idx="4">
                  <c:v>279.99999999999994</c:v>
                </c:pt>
                <c:pt idx="5">
                  <c:v>280.00000000000006</c:v>
                </c:pt>
                <c:pt idx="6">
                  <c:v>279.99999999999994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68-4259-9278-E4E80723F894}"/>
            </c:ext>
          </c:extLst>
        </c:ser>
        <c:ser>
          <c:idx val="1"/>
          <c:order val="1"/>
          <c:tx>
            <c:v>Cylinder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Cylindrisk!$D$21:$D$30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Cylindrisk!$I$21:$I$30</c:f>
              <c:numCache>
                <c:formatCode>0</c:formatCode>
                <c:ptCount val="10"/>
                <c:pt idx="0">
                  <c:v>134.743343740906</c:v>
                </c:pt>
                <c:pt idx="1">
                  <c:v>227.12885246172567</c:v>
                </c:pt>
                <c:pt idx="2">
                  <c:v>280.53696704564618</c:v>
                </c:pt>
                <c:pt idx="3">
                  <c:v>312.13481751278704</c:v>
                </c:pt>
                <c:pt idx="4">
                  <c:v>327.78883961624513</c:v>
                </c:pt>
                <c:pt idx="5">
                  <c:v>330.88269068907312</c:v>
                </c:pt>
                <c:pt idx="6">
                  <c:v>323.43841635163909</c:v>
                </c:pt>
                <c:pt idx="7">
                  <c:v>306.66599767928966</c:v>
                </c:pt>
                <c:pt idx="8">
                  <c:v>281.25124189810128</c:v>
                </c:pt>
                <c:pt idx="9">
                  <c:v>247.51264101294583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68-4259-9278-E4E80723F894}"/>
            </c:ext>
          </c:extLst>
        </c:ser>
        <c:ser>
          <c:idx val="2"/>
          <c:order val="2"/>
          <c:tx>
            <c:v>Infästning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Cylindrisk!$R$10:$R$11</c:f>
              <c:numCache>
                <c:formatCode>0.000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Cylindrisk!$T$10:$T$11</c:f>
              <c:numCache>
                <c:formatCode>General</c:formatCode>
                <c:ptCount val="2"/>
                <c:pt idx="0">
                  <c:v>20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D-42C5-BB95-2008FFC2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97992"/>
        <c:axId val="496698320"/>
      </c:scatterChart>
      <c:valAx>
        <c:axId val="49669799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Radie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6698320"/>
        <c:crosses val="autoZero"/>
        <c:crossBetween val="midCat"/>
        <c:majorUnit val="10"/>
      </c:valAx>
      <c:valAx>
        <c:axId val="49669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Stigning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669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60486333524473"/>
          <c:y val="0.53105037770555685"/>
          <c:w val="0.19641846500981339"/>
          <c:h val="0.3116365301982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Anfallsvinkel längs bladet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220609346335433"/>
          <c:y val="0.16182373472949388"/>
          <c:w val="0.78614184963094214"/>
          <c:h val="0.64444455895892594"/>
        </c:manualLayout>
      </c:layout>
      <c:scatterChart>
        <c:scatterStyle val="lineMarker"/>
        <c:varyColors val="0"/>
        <c:ser>
          <c:idx val="0"/>
          <c:order val="0"/>
          <c:tx>
            <c:v>Helix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Konisk!$D$23:$D$33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Konisk!$K$23:$K$33</c:f>
              <c:numCache>
                <c:formatCode>0.0</c:formatCode>
                <c:ptCount val="11"/>
                <c:pt idx="1">
                  <c:v>76.899821866612299</c:v>
                </c:pt>
                <c:pt idx="2">
                  <c:v>65.041736123739184</c:v>
                </c:pt>
                <c:pt idx="3">
                  <c:v>55.079885601469911</c:v>
                </c:pt>
                <c:pt idx="4">
                  <c:v>47.05130843369286</c:v>
                </c:pt>
                <c:pt idx="5">
                  <c:v>40.676972680997778</c:v>
                </c:pt>
                <c:pt idx="6">
                  <c:v>35.610133954001689</c:v>
                </c:pt>
                <c:pt idx="7">
                  <c:v>31.545071105179975</c:v>
                </c:pt>
                <c:pt idx="8">
                  <c:v>28.242376871551166</c:v>
                </c:pt>
                <c:pt idx="9">
                  <c:v>25.522834353551843</c:v>
                </c:pt>
                <c:pt idx="10">
                  <c:v>23.254084070031865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12-433D-91A5-9E62D99F181F}"/>
            </c:ext>
          </c:extLst>
        </c:ser>
        <c:ser>
          <c:idx val="1"/>
          <c:order val="1"/>
          <c:tx>
            <c:v>Kon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Konisk!$D$24:$D$33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Konisk!$H$24:$H$33</c:f>
              <c:numCache>
                <c:formatCode>0.0</c:formatCode>
                <c:ptCount val="10"/>
                <c:pt idx="0">
                  <c:v>70</c:v>
                </c:pt>
                <c:pt idx="1">
                  <c:v>63.683056173295228</c:v>
                </c:pt>
                <c:pt idx="2">
                  <c:v>56.461657604085332</c:v>
                </c:pt>
                <c:pt idx="3">
                  <c:v>49.894866134002712</c:v>
                </c:pt>
                <c:pt idx="4">
                  <c:v>43.897532598167317</c:v>
                </c:pt>
                <c:pt idx="5">
                  <c:v>38.398662023598533</c:v>
                </c:pt>
                <c:pt idx="6">
                  <c:v>33.338589941160201</c:v>
                </c:pt>
                <c:pt idx="7">
                  <c:v>28.666808735069363</c:v>
                </c:pt>
                <c:pt idx="8">
                  <c:v>24.340275895933342</c:v>
                </c:pt>
                <c:pt idx="9">
                  <c:v>20.322083973208787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12-433D-91A5-9E62D99F181F}"/>
            </c:ext>
          </c:extLst>
        </c:ser>
        <c:ser>
          <c:idx val="2"/>
          <c:order val="2"/>
          <c:tx>
            <c:v>Infästning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Konisk!$R$10:$R$11</c:f>
              <c:numCache>
                <c:formatCode>0.000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Konisk!$S$10:$S$11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12-433D-91A5-9E62D99F1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796592"/>
        <c:axId val="481795280"/>
      </c:scatterChart>
      <c:valAx>
        <c:axId val="48179659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Radie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95280"/>
        <c:crosses val="autoZero"/>
        <c:crossBetween val="midCat"/>
        <c:majorUnit val="10"/>
      </c:valAx>
      <c:valAx>
        <c:axId val="48179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Anfallsvinkel [grader]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96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49995571157512"/>
          <c:y val="0.18325699246043001"/>
          <c:w val="0.19641846500981339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Stigningsfördelning längs bladet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931402295461897"/>
          <c:y val="0.16056277056277057"/>
          <c:w val="0.74087547753878658"/>
          <c:h val="0.64721512083716803"/>
        </c:manualLayout>
      </c:layout>
      <c:scatterChart>
        <c:scatterStyle val="lineMarker"/>
        <c:varyColors val="0"/>
        <c:ser>
          <c:idx val="0"/>
          <c:order val="0"/>
          <c:tx>
            <c:v>Helix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Konisk!$D$24:$D$33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Konisk!$L$24:$L$33</c:f>
              <c:numCache>
                <c:formatCode>General</c:formatCode>
                <c:ptCount val="10"/>
                <c:pt idx="0">
                  <c:v>270.00000000000011</c:v>
                </c:pt>
                <c:pt idx="1">
                  <c:v>269.99999999999994</c:v>
                </c:pt>
                <c:pt idx="2">
                  <c:v>270</c:v>
                </c:pt>
                <c:pt idx="3">
                  <c:v>270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270</c:v>
                </c:pt>
                <c:pt idx="8">
                  <c:v>269.99999999999994</c:v>
                </c:pt>
                <c:pt idx="9">
                  <c:v>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C-4FB4-A2DB-3869A5174455}"/>
            </c:ext>
          </c:extLst>
        </c:ser>
        <c:ser>
          <c:idx val="1"/>
          <c:order val="1"/>
          <c:tx>
            <c:v>Kon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Konisk!$D$24:$D$33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Konisk!$I$24:$I$33</c:f>
              <c:numCache>
                <c:formatCode>0</c:formatCode>
                <c:ptCount val="10"/>
                <c:pt idx="0">
                  <c:v>172.62909753724963</c:v>
                </c:pt>
                <c:pt idx="1">
                  <c:v>254.07200072321302</c:v>
                </c:pt>
                <c:pt idx="2">
                  <c:v>284.37206812388894</c:v>
                </c:pt>
                <c:pt idx="3">
                  <c:v>298.40662480928989</c:v>
                </c:pt>
                <c:pt idx="4">
                  <c:v>302.29615949388528</c:v>
                </c:pt>
                <c:pt idx="5">
                  <c:v>298.78514491862057</c:v>
                </c:pt>
                <c:pt idx="6">
                  <c:v>289.33392956713288</c:v>
                </c:pt>
                <c:pt idx="7">
                  <c:v>274.81713183695342</c:v>
                </c:pt>
                <c:pt idx="8">
                  <c:v>255.80572339473738</c:v>
                </c:pt>
                <c:pt idx="9">
                  <c:v>232.69743736429157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C-4FB4-A2DB-3869A5174455}"/>
            </c:ext>
          </c:extLst>
        </c:ser>
        <c:ser>
          <c:idx val="2"/>
          <c:order val="2"/>
          <c:tx>
            <c:v>Infästning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Konisk!$R$10:$R$14</c:f>
              <c:numCache>
                <c:formatCode>0.000</c:formatCode>
                <c:ptCount val="5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Konisk!$T$10:$T$14</c:f>
              <c:numCache>
                <c:formatCode>General</c:formatCode>
                <c:ptCount val="5"/>
                <c:pt idx="0">
                  <c:v>20</c:v>
                </c:pt>
                <c:pt idx="1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7C-4FB4-A2DB-3869A5174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97992"/>
        <c:axId val="496698320"/>
      </c:scatterChart>
      <c:valAx>
        <c:axId val="49669799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Radie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6698320"/>
        <c:crosses val="autoZero"/>
        <c:crossBetween val="midCat"/>
        <c:majorUnit val="10"/>
      </c:valAx>
      <c:valAx>
        <c:axId val="49669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Stigning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6697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264453177811035"/>
          <c:y val="0.48949913116816074"/>
          <c:w val="0.19641846500981339"/>
          <c:h val="0.3116365301982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4</xdr:row>
      <xdr:rowOff>7620</xdr:rowOff>
    </xdr:from>
    <xdr:to>
      <xdr:col>22</xdr:col>
      <xdr:colOff>30480</xdr:colOff>
      <xdr:row>19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174E544-159F-4D58-9065-70689EB9C2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22</xdr:col>
      <xdr:colOff>22860</xdr:colOff>
      <xdr:row>35</xdr:row>
      <xdr:rowOff>7620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B8E89C5-0F03-4F15-A375-A1BF2BE4E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236219</xdr:colOff>
      <xdr:row>3</xdr:row>
      <xdr:rowOff>175261</xdr:rowOff>
    </xdr:from>
    <xdr:to>
      <xdr:col>2</xdr:col>
      <xdr:colOff>457200</xdr:colOff>
      <xdr:row>14</xdr:row>
      <xdr:rowOff>54167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0FC618E-0840-E2AB-51F1-24E5DD530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6219" y="723901"/>
          <a:ext cx="1440181" cy="189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7620</xdr:rowOff>
    </xdr:from>
    <xdr:to>
      <xdr:col>22</xdr:col>
      <xdr:colOff>22860</xdr:colOff>
      <xdr:row>19</xdr:row>
      <xdr:rowOff>7620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7B319E-9751-4BE6-A773-F5616A5DD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19</xdr:row>
      <xdr:rowOff>175260</xdr:rowOff>
    </xdr:from>
    <xdr:to>
      <xdr:col>22</xdr:col>
      <xdr:colOff>22860</xdr:colOff>
      <xdr:row>34</xdr:row>
      <xdr:rowOff>167640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188D73A-1847-4F1A-825F-2A05C407C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320040</xdr:colOff>
      <xdr:row>4</xdr:row>
      <xdr:rowOff>167640</xdr:rowOff>
    </xdr:from>
    <xdr:to>
      <xdr:col>2</xdr:col>
      <xdr:colOff>428719</xdr:colOff>
      <xdr:row>14</xdr:row>
      <xdr:rowOff>38327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5E2DA93-F7C1-8C78-ACB4-F8626F4BE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040" y="899160"/>
          <a:ext cx="1327879" cy="1699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71F0-606E-4DD6-AE1B-991AF3F7EB4C}">
  <dimension ref="C6:W30"/>
  <sheetViews>
    <sheetView tabSelected="1" topLeftCell="A4" workbookViewId="0">
      <selection activeCell="L15" sqref="L15"/>
    </sheetView>
  </sheetViews>
  <sheetFormatPr defaultRowHeight="14.4" x14ac:dyDescent="0.3"/>
  <cols>
    <col min="10" max="10" width="12" bestFit="1" customWidth="1"/>
    <col min="13" max="13" width="10" bestFit="1" customWidth="1"/>
    <col min="23" max="23" width="10.44140625" bestFit="1" customWidth="1"/>
  </cols>
  <sheetData>
    <row r="6" spans="4:23" x14ac:dyDescent="0.3">
      <c r="D6" s="1"/>
      <c r="E6" s="1"/>
      <c r="F6" s="1"/>
      <c r="G6" s="1"/>
      <c r="H6" s="1"/>
      <c r="I6" s="1"/>
      <c r="J6" s="1"/>
      <c r="K6" s="1"/>
      <c r="L6" s="1"/>
    </row>
    <row r="7" spans="4:23" x14ac:dyDescent="0.3">
      <c r="D7" s="49" t="s">
        <v>14</v>
      </c>
      <c r="E7" s="50"/>
      <c r="F7" s="50"/>
      <c r="G7" s="50"/>
      <c r="H7" s="50"/>
      <c r="J7" s="51" t="s">
        <v>11</v>
      </c>
      <c r="K7" s="51"/>
      <c r="L7" s="51"/>
      <c r="M7" s="20"/>
    </row>
    <row r="8" spans="4:23" x14ac:dyDescent="0.3">
      <c r="D8" s="20" t="s">
        <v>9</v>
      </c>
      <c r="E8" s="21"/>
      <c r="F8" s="21"/>
      <c r="G8" s="21"/>
      <c r="H8" s="22">
        <v>200</v>
      </c>
      <c r="J8" t="s">
        <v>16</v>
      </c>
      <c r="L8" s="15">
        <v>15</v>
      </c>
      <c r="M8" s="10"/>
      <c r="P8" s="3"/>
    </row>
    <row r="9" spans="4:23" x14ac:dyDescent="0.3">
      <c r="D9" s="20" t="s">
        <v>13</v>
      </c>
      <c r="E9" s="21"/>
      <c r="F9" s="21"/>
      <c r="G9" s="21"/>
      <c r="H9" s="22">
        <v>280</v>
      </c>
      <c r="J9" t="s">
        <v>10</v>
      </c>
      <c r="L9" s="15">
        <v>65</v>
      </c>
      <c r="M9" s="10"/>
      <c r="P9" s="3"/>
      <c r="W9" s="3"/>
    </row>
    <row r="10" spans="4:23" x14ac:dyDescent="0.3">
      <c r="D10" s="23" t="s">
        <v>15</v>
      </c>
      <c r="E10" s="21"/>
      <c r="F10" s="21"/>
      <c r="G10" s="21"/>
      <c r="H10" s="22">
        <v>60</v>
      </c>
      <c r="J10" t="s">
        <v>17</v>
      </c>
      <c r="L10" s="15">
        <v>12</v>
      </c>
      <c r="M10" s="10"/>
      <c r="R10" s="3">
        <f>L10*100/(H8/2)</f>
        <v>12</v>
      </c>
      <c r="S10">
        <v>10</v>
      </c>
      <c r="T10">
        <v>20</v>
      </c>
      <c r="W10" s="3"/>
    </row>
    <row r="11" spans="4:23" x14ac:dyDescent="0.3">
      <c r="D11" s="24" t="s">
        <v>0</v>
      </c>
      <c r="E11" s="1"/>
      <c r="F11" s="1"/>
      <c r="G11" s="1"/>
      <c r="H11" s="18">
        <f>H9/H8</f>
        <v>1.4</v>
      </c>
      <c r="I11" s="1"/>
      <c r="J11" s="1"/>
      <c r="K11" s="1"/>
      <c r="L11" s="19"/>
      <c r="M11" s="20"/>
      <c r="R11" s="3">
        <f>R10</f>
        <v>12</v>
      </c>
      <c r="S11">
        <v>90</v>
      </c>
      <c r="T11">
        <f>H9+20</f>
        <v>300</v>
      </c>
    </row>
    <row r="16" spans="4:23" x14ac:dyDescent="0.3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5" x14ac:dyDescent="0.3">
      <c r="D17" s="52" t="s">
        <v>12</v>
      </c>
      <c r="E17" s="53"/>
      <c r="F17" s="53"/>
      <c r="G17" s="53"/>
      <c r="H17" s="53"/>
      <c r="I17" s="53"/>
      <c r="J17" s="53"/>
      <c r="K17" s="53"/>
      <c r="L17" s="53"/>
      <c r="M17" s="37" t="s">
        <v>29</v>
      </c>
      <c r="N17" s="38"/>
    </row>
    <row r="18" spans="3:15" x14ac:dyDescent="0.3">
      <c r="C18" s="6"/>
      <c r="D18" s="60" t="s">
        <v>28</v>
      </c>
      <c r="E18" s="61"/>
      <c r="F18" s="46" t="s">
        <v>7</v>
      </c>
      <c r="G18" s="54" t="s">
        <v>26</v>
      </c>
      <c r="H18" s="55"/>
      <c r="I18" s="56"/>
      <c r="J18" s="57" t="s">
        <v>8</v>
      </c>
      <c r="K18" s="58"/>
      <c r="L18" s="59"/>
      <c r="M18" s="36"/>
      <c r="N18" s="38"/>
    </row>
    <row r="19" spans="3:15" ht="15.6" x14ac:dyDescent="0.35">
      <c r="C19" s="6"/>
      <c r="D19" s="1" t="s">
        <v>24</v>
      </c>
      <c r="E19" s="1" t="s">
        <v>3</v>
      </c>
      <c r="F19" s="5" t="s">
        <v>27</v>
      </c>
      <c r="G19" s="2" t="s">
        <v>2</v>
      </c>
      <c r="H19" s="2" t="s">
        <v>1</v>
      </c>
      <c r="I19" s="8" t="s">
        <v>4</v>
      </c>
      <c r="J19" s="7" t="s">
        <v>5</v>
      </c>
      <c r="K19" s="2" t="s">
        <v>6</v>
      </c>
      <c r="L19" s="8" t="s">
        <v>4</v>
      </c>
      <c r="M19" s="16" t="s">
        <v>19</v>
      </c>
      <c r="N19" s="41" t="s">
        <v>31</v>
      </c>
    </row>
    <row r="20" spans="3:15" x14ac:dyDescent="0.3">
      <c r="C20" s="6"/>
      <c r="D20">
        <v>0</v>
      </c>
      <c r="E20" s="6">
        <f>$H$8/2*D20/100</f>
        <v>0</v>
      </c>
      <c r="F20" s="21">
        <f>H$10/2</f>
        <v>30</v>
      </c>
      <c r="G20" s="10">
        <f>IF(E20&lt;L$10,L$9*PI()/180,L$9*PI()/180-(E20-L$10)/(H$10/2)*SIN(L$8*PI()/180))</f>
        <v>1.1344640137963142</v>
      </c>
      <c r="H20" s="11">
        <f>G20*180/PI()</f>
        <v>65</v>
      </c>
      <c r="I20" s="13">
        <f>2*PI()*E20*TAN(G20)</f>
        <v>0</v>
      </c>
      <c r="J20" s="47" t="s">
        <v>18</v>
      </c>
      <c r="K20" s="48"/>
      <c r="L20" s="9">
        <f>H9</f>
        <v>280</v>
      </c>
      <c r="M20" s="25"/>
      <c r="N20" s="42"/>
    </row>
    <row r="21" spans="3:15" x14ac:dyDescent="0.3">
      <c r="C21" s="6"/>
      <c r="D21">
        <v>10</v>
      </c>
      <c r="E21" s="6">
        <f t="shared" ref="E21:E30" si="0">$H$8/2*D21/100</f>
        <v>10</v>
      </c>
      <c r="F21" s="21">
        <f t="shared" ref="F21:F30" si="1">H$10/2</f>
        <v>30</v>
      </c>
      <c r="G21" s="10">
        <f t="shared" ref="G21:G30" si="2">IF(E21&lt;L$10,L$9*PI()/180,L$9*PI()/180-(E21-L$10)/(H$10/2)*SIN(L$8*PI()/180))</f>
        <v>1.1344640137963142</v>
      </c>
      <c r="H21" s="11">
        <f t="shared" ref="H21:H30" si="3">G21*180/PI()</f>
        <v>65</v>
      </c>
      <c r="I21" s="13">
        <f t="shared" ref="I21:I30" si="4">2*PI()*E21*TAN(G21)</f>
        <v>134.743343740906</v>
      </c>
      <c r="J21" s="10">
        <f>ATAN(H$9/(2*PI()*E21))</f>
        <v>1.3500535460009175</v>
      </c>
      <c r="K21" s="11">
        <f>J21*180/PI()</f>
        <v>77.352370302523511</v>
      </c>
      <c r="L21" s="6">
        <f>2*PI()*E21*TAN(J21)</f>
        <v>279.99999999999994</v>
      </c>
      <c r="M21" s="17">
        <f>IF(G21&lt;J21,I21+2*PI()*E21*(TAN(J21)-TAN(G21)),I21-2*PI()*E21*(TAN(G21)-TAN(J21)))</f>
        <v>280</v>
      </c>
      <c r="N21" s="39">
        <f>(I21-H$9)*100/H$9</f>
        <v>-51.877377235390711</v>
      </c>
      <c r="O21" s="27"/>
    </row>
    <row r="22" spans="3:15" x14ac:dyDescent="0.3">
      <c r="C22" s="6"/>
      <c r="D22">
        <v>20</v>
      </c>
      <c r="E22" s="6">
        <f t="shared" si="0"/>
        <v>20</v>
      </c>
      <c r="F22" s="21">
        <f t="shared" si="1"/>
        <v>30</v>
      </c>
      <c r="G22" s="10">
        <f t="shared" si="2"/>
        <v>1.0654456017689753</v>
      </c>
      <c r="H22" s="11">
        <f t="shared" si="3"/>
        <v>61.045536282138528</v>
      </c>
      <c r="I22" s="13">
        <f t="shared" si="4"/>
        <v>227.12885246172567</v>
      </c>
      <c r="J22" s="10">
        <f t="shared" ref="J22:J30" si="5">ATAN(H$9/(2*PI()*E22))</f>
        <v>1.1489416431985964</v>
      </c>
      <c r="K22" s="11">
        <f t="shared" ref="K22:K30" si="6">J22*180/PI()</f>
        <v>65.829507062105279</v>
      </c>
      <c r="L22" s="6">
        <f t="shared" ref="L22:L30" si="7">2*PI()*E22*TAN(J22)</f>
        <v>280</v>
      </c>
      <c r="M22" s="17">
        <f t="shared" ref="M22:M30" si="8">IF(G22&lt;J22,I22+2*PI()*E22*(TAN(J22)-TAN(G22)),I22-2*PI()*E22*(TAN(G22)-TAN(J22)))</f>
        <v>280</v>
      </c>
      <c r="N22" s="39">
        <f t="shared" ref="N22:N30" si="9">(I22-H$9)*100/H$9</f>
        <v>-18.882552692240832</v>
      </c>
      <c r="O22" s="27"/>
    </row>
    <row r="23" spans="3:15" x14ac:dyDescent="0.3">
      <c r="C23" s="6"/>
      <c r="D23">
        <v>30</v>
      </c>
      <c r="E23" s="6">
        <f t="shared" si="0"/>
        <v>30</v>
      </c>
      <c r="F23" s="21">
        <f t="shared" si="1"/>
        <v>30</v>
      </c>
      <c r="G23" s="10">
        <f t="shared" si="2"/>
        <v>0.97917258673480179</v>
      </c>
      <c r="H23" s="11">
        <f t="shared" si="3"/>
        <v>56.102456634811681</v>
      </c>
      <c r="I23" s="13">
        <f t="shared" si="4"/>
        <v>280.53696704564618</v>
      </c>
      <c r="J23" s="10">
        <f t="shared" si="5"/>
        <v>0.9782853579929528</v>
      </c>
      <c r="K23" s="11">
        <f t="shared" si="6"/>
        <v>56.051622172441036</v>
      </c>
      <c r="L23" s="6">
        <f t="shared" si="7"/>
        <v>280.00000000000006</v>
      </c>
      <c r="M23" s="17">
        <f t="shared" si="8"/>
        <v>280.00000000000006</v>
      </c>
      <c r="N23" s="39">
        <f t="shared" si="9"/>
        <v>0.19177394487363536</v>
      </c>
      <c r="O23" s="27"/>
    </row>
    <row r="24" spans="3:15" x14ac:dyDescent="0.3">
      <c r="C24" s="6"/>
      <c r="D24">
        <v>40</v>
      </c>
      <c r="E24" s="6">
        <f t="shared" si="0"/>
        <v>40</v>
      </c>
      <c r="F24" s="21">
        <f t="shared" si="1"/>
        <v>30</v>
      </c>
      <c r="G24" s="10">
        <f t="shared" si="2"/>
        <v>0.89289957170062817</v>
      </c>
      <c r="H24" s="11">
        <f t="shared" si="3"/>
        <v>51.159376987484833</v>
      </c>
      <c r="I24" s="13">
        <f t="shared" si="4"/>
        <v>312.13481751278704</v>
      </c>
      <c r="J24" s="10">
        <f t="shared" si="5"/>
        <v>0.83930993776547469</v>
      </c>
      <c r="K24" s="11">
        <f t="shared" si="6"/>
        <v>48.088917137349483</v>
      </c>
      <c r="L24" s="6">
        <f t="shared" si="7"/>
        <v>279.99999999999994</v>
      </c>
      <c r="M24" s="17">
        <f t="shared" si="8"/>
        <v>280</v>
      </c>
      <c r="N24" s="39">
        <f t="shared" si="9"/>
        <v>11.476720540281086</v>
      </c>
      <c r="O24" s="27"/>
    </row>
    <row r="25" spans="3:15" x14ac:dyDescent="0.3">
      <c r="C25" s="6"/>
      <c r="D25">
        <v>50</v>
      </c>
      <c r="E25" s="6">
        <f t="shared" si="0"/>
        <v>50</v>
      </c>
      <c r="F25" s="21">
        <f t="shared" si="1"/>
        <v>30</v>
      </c>
      <c r="G25" s="10">
        <f t="shared" si="2"/>
        <v>0.80662655666645466</v>
      </c>
      <c r="H25" s="11">
        <f t="shared" si="3"/>
        <v>46.216297340157993</v>
      </c>
      <c r="I25" s="13">
        <f t="shared" si="4"/>
        <v>327.78883961624513</v>
      </c>
      <c r="J25" s="10">
        <f t="shared" si="5"/>
        <v>0.72796961479927469</v>
      </c>
      <c r="K25" s="11">
        <f t="shared" si="6"/>
        <v>41.709586541762711</v>
      </c>
      <c r="L25" s="6">
        <f t="shared" si="7"/>
        <v>279.99999999999994</v>
      </c>
      <c r="M25" s="17">
        <f t="shared" si="8"/>
        <v>279.99999999999994</v>
      </c>
      <c r="N25" s="39">
        <f t="shared" si="9"/>
        <v>17.067442720087548</v>
      </c>
      <c r="O25" s="27"/>
    </row>
    <row r="26" spans="3:15" x14ac:dyDescent="0.3">
      <c r="C26" s="6"/>
      <c r="D26">
        <v>60</v>
      </c>
      <c r="E26" s="6">
        <f t="shared" si="0"/>
        <v>60</v>
      </c>
      <c r="F26" s="21">
        <f t="shared" si="1"/>
        <v>30</v>
      </c>
      <c r="G26" s="10">
        <f t="shared" si="2"/>
        <v>0.72035354163228105</v>
      </c>
      <c r="H26" s="11">
        <f t="shared" si="3"/>
        <v>41.273217692831146</v>
      </c>
      <c r="I26" s="13">
        <f t="shared" si="4"/>
        <v>330.88269068907312</v>
      </c>
      <c r="J26" s="10">
        <f t="shared" si="5"/>
        <v>0.63882758177777632</v>
      </c>
      <c r="K26" s="11">
        <f t="shared" si="6"/>
        <v>36.60212427241504</v>
      </c>
      <c r="L26" s="6">
        <f t="shared" si="7"/>
        <v>280.00000000000006</v>
      </c>
      <c r="M26" s="17">
        <f t="shared" si="8"/>
        <v>280.00000000000006</v>
      </c>
      <c r="N26" s="39">
        <f t="shared" si="9"/>
        <v>18.172389531811827</v>
      </c>
      <c r="O26" s="27"/>
    </row>
    <row r="27" spans="3:15" x14ac:dyDescent="0.3">
      <c r="C27" s="6"/>
      <c r="D27">
        <v>70</v>
      </c>
      <c r="E27" s="6">
        <f t="shared" si="0"/>
        <v>70</v>
      </c>
      <c r="F27" s="21">
        <f t="shared" si="1"/>
        <v>30</v>
      </c>
      <c r="G27" s="10">
        <f t="shared" si="2"/>
        <v>0.63408052659810743</v>
      </c>
      <c r="H27" s="11">
        <f t="shared" si="3"/>
        <v>36.330138045504292</v>
      </c>
      <c r="I27" s="13">
        <f t="shared" si="4"/>
        <v>323.43841635163909</v>
      </c>
      <c r="J27" s="10">
        <f t="shared" si="5"/>
        <v>0.56691150494100939</v>
      </c>
      <c r="K27" s="11">
        <f t="shared" si="6"/>
        <v>32.481636590529753</v>
      </c>
      <c r="L27" s="6">
        <f t="shared" si="7"/>
        <v>279.99999999999994</v>
      </c>
      <c r="M27" s="17">
        <f t="shared" si="8"/>
        <v>279.99999999999994</v>
      </c>
      <c r="N27" s="39">
        <f t="shared" si="9"/>
        <v>15.513720125585388</v>
      </c>
      <c r="O27" s="27"/>
    </row>
    <row r="28" spans="3:15" x14ac:dyDescent="0.3">
      <c r="C28" s="6"/>
      <c r="D28">
        <v>80</v>
      </c>
      <c r="E28" s="6">
        <f t="shared" si="0"/>
        <v>80</v>
      </c>
      <c r="F28" s="21">
        <f t="shared" si="1"/>
        <v>30</v>
      </c>
      <c r="G28" s="10">
        <f t="shared" si="2"/>
        <v>0.54780751156393392</v>
      </c>
      <c r="H28" s="11">
        <f t="shared" si="3"/>
        <v>31.387058398177452</v>
      </c>
      <c r="I28" s="13">
        <f t="shared" si="4"/>
        <v>306.66599767928966</v>
      </c>
      <c r="J28" s="10">
        <f t="shared" si="5"/>
        <v>0.50823388508876288</v>
      </c>
      <c r="K28" s="11">
        <f t="shared" si="6"/>
        <v>29.119656621122978</v>
      </c>
      <c r="L28" s="6">
        <f t="shared" si="7"/>
        <v>280</v>
      </c>
      <c r="M28" s="17">
        <f t="shared" si="8"/>
        <v>280</v>
      </c>
      <c r="N28" s="39">
        <f t="shared" si="9"/>
        <v>9.5235705997463072</v>
      </c>
      <c r="O28" s="27"/>
    </row>
    <row r="29" spans="3:15" x14ac:dyDescent="0.3">
      <c r="C29" s="6"/>
      <c r="D29">
        <v>90</v>
      </c>
      <c r="E29" s="6">
        <f t="shared" si="0"/>
        <v>90</v>
      </c>
      <c r="F29" s="21">
        <f t="shared" si="1"/>
        <v>30</v>
      </c>
      <c r="G29" s="10">
        <f t="shared" si="2"/>
        <v>0.46153449652976031</v>
      </c>
      <c r="H29" s="11">
        <f t="shared" si="3"/>
        <v>26.443978750850604</v>
      </c>
      <c r="I29" s="13">
        <f t="shared" si="4"/>
        <v>281.25124189810128</v>
      </c>
      <c r="J29" s="10">
        <f t="shared" si="5"/>
        <v>0.45975905223174873</v>
      </c>
      <c r="K29" s="11">
        <f t="shared" si="6"/>
        <v>26.342253285813975</v>
      </c>
      <c r="L29" s="6">
        <f t="shared" si="7"/>
        <v>280</v>
      </c>
      <c r="M29" s="17">
        <f t="shared" si="8"/>
        <v>280</v>
      </c>
      <c r="N29" s="39">
        <f t="shared" si="9"/>
        <v>0.4468721064647444</v>
      </c>
      <c r="O29" s="27"/>
    </row>
    <row r="30" spans="3:15" x14ac:dyDescent="0.3">
      <c r="C30" s="6"/>
      <c r="D30" s="1">
        <v>100</v>
      </c>
      <c r="E30" s="5">
        <f t="shared" si="0"/>
        <v>100</v>
      </c>
      <c r="F30" s="29">
        <f t="shared" si="1"/>
        <v>30</v>
      </c>
      <c r="G30" s="12">
        <f t="shared" si="2"/>
        <v>0.3752614814955868</v>
      </c>
      <c r="H30" s="4">
        <f t="shared" si="3"/>
        <v>21.500899103523761</v>
      </c>
      <c r="I30" s="14">
        <f t="shared" si="4"/>
        <v>247.51264101294583</v>
      </c>
      <c r="J30" s="12">
        <f t="shared" si="5"/>
        <v>0.41921709816648489</v>
      </c>
      <c r="K30" s="4">
        <f t="shared" si="6"/>
        <v>24.019370424661108</v>
      </c>
      <c r="L30" s="5">
        <f t="shared" si="7"/>
        <v>280</v>
      </c>
      <c r="M30" s="35">
        <f t="shared" si="8"/>
        <v>280</v>
      </c>
      <c r="N30" s="40">
        <f t="shared" si="9"/>
        <v>-11.602628209662203</v>
      </c>
      <c r="O30" s="27"/>
    </row>
  </sheetData>
  <sheetProtection algorithmName="SHA-512" hashValue="3vOTGssrg52qqdn7wsDHxf1aXTybsTNlWqMPtZv/XO2qBcUhFym/qduVHnK6cwoLFKrSorL7cr1LUktaUk0Ycw==" saltValue="x9FV3n0V5O4ImOxSObQnVQ==" spinCount="100000" sheet="1" objects="1" scenarios="1"/>
  <protectedRanges>
    <protectedRange algorithmName="SHA-512" hashValue="dT9/VYlcNogtatZuS8Tn7lvrxFUPTQIE0UoeJBRd4SQB4WtlH22ixzoQ2cyq9NCgjKPNNGctX2eMMf9GyrB+PA==" saltValue="0QdmuEYnurJl/Ox0oArIdg==" spinCount="100000" sqref="L8:L10" name="Område2"/>
    <protectedRange algorithmName="SHA-512" hashValue="VT+vKBAC1NI7H6CiGXfvw8oFu/+8s7N9tBBqAxMLcs6Z9GA9WzS18TTHEc/1xLqyAh0nZsUIELVUspEP5pySMQ==" saltValue="Jok9hSDByLHWZgeQU2Sbkg==" spinCount="100000" sqref="H8:H10" name="Område1"/>
  </protectedRanges>
  <mergeCells count="7">
    <mergeCell ref="J20:K20"/>
    <mergeCell ref="D7:H7"/>
    <mergeCell ref="J7:L7"/>
    <mergeCell ref="D17:L17"/>
    <mergeCell ref="G18:I18"/>
    <mergeCell ref="J18:L18"/>
    <mergeCell ref="D18:E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24BB5-C3DC-44D4-BD33-41D182710E23}">
  <sheetPr>
    <pageSetUpPr fitToPage="1"/>
  </sheetPr>
  <dimension ref="A6:W33"/>
  <sheetViews>
    <sheetView topLeftCell="A4" workbookViewId="0">
      <selection activeCell="N12" sqref="N12"/>
    </sheetView>
  </sheetViews>
  <sheetFormatPr defaultRowHeight="14.4" x14ac:dyDescent="0.3"/>
  <cols>
    <col min="10" max="10" width="12" bestFit="1" customWidth="1"/>
    <col min="13" max="13" width="10" bestFit="1" customWidth="1"/>
    <col min="23" max="23" width="10.44140625" bestFit="1" customWidth="1"/>
  </cols>
  <sheetData>
    <row r="6" spans="4:23" x14ac:dyDescent="0.3">
      <c r="D6" s="1"/>
      <c r="E6" s="1"/>
      <c r="F6" s="1"/>
      <c r="G6" s="1"/>
      <c r="H6" s="1"/>
      <c r="I6" s="1"/>
      <c r="J6" s="1"/>
      <c r="K6" s="1"/>
      <c r="L6" s="1"/>
    </row>
    <row r="7" spans="4:23" x14ac:dyDescent="0.3">
      <c r="D7" s="49" t="s">
        <v>14</v>
      </c>
      <c r="E7" s="50"/>
      <c r="F7" s="50"/>
      <c r="G7" s="50"/>
      <c r="H7" s="50"/>
      <c r="J7" s="51" t="s">
        <v>11</v>
      </c>
      <c r="K7" s="51"/>
      <c r="L7" s="51"/>
      <c r="M7" s="20"/>
    </row>
    <row r="8" spans="4:23" x14ac:dyDescent="0.3">
      <c r="D8" s="20" t="s">
        <v>9</v>
      </c>
      <c r="E8" s="21"/>
      <c r="F8" s="21"/>
      <c r="G8" s="21"/>
      <c r="H8" s="22">
        <v>200</v>
      </c>
      <c r="J8" t="s">
        <v>33</v>
      </c>
      <c r="L8" s="15">
        <v>22.5</v>
      </c>
      <c r="M8" s="10"/>
      <c r="P8" s="3"/>
    </row>
    <row r="9" spans="4:23" x14ac:dyDescent="0.3">
      <c r="D9" s="20" t="s">
        <v>13</v>
      </c>
      <c r="E9" s="21"/>
      <c r="F9" s="21"/>
      <c r="G9" s="21"/>
      <c r="H9" s="22">
        <v>270</v>
      </c>
      <c r="J9" t="s">
        <v>10</v>
      </c>
      <c r="L9" s="15">
        <v>70</v>
      </c>
      <c r="M9" s="10"/>
      <c r="P9" s="3"/>
      <c r="W9" s="3"/>
    </row>
    <row r="10" spans="4:23" x14ac:dyDescent="0.3">
      <c r="D10" s="23" t="s">
        <v>20</v>
      </c>
      <c r="E10" s="21"/>
      <c r="F10" s="21"/>
      <c r="G10" s="21"/>
      <c r="H10" s="22">
        <v>80</v>
      </c>
      <c r="J10" t="s">
        <v>17</v>
      </c>
      <c r="L10" s="15">
        <v>12</v>
      </c>
      <c r="M10" s="10"/>
      <c r="R10" s="3">
        <f>L10*100/(H8/2)</f>
        <v>12</v>
      </c>
      <c r="S10">
        <v>10</v>
      </c>
      <c r="T10">
        <v>20</v>
      </c>
      <c r="W10" s="3"/>
    </row>
    <row r="11" spans="4:23" x14ac:dyDescent="0.3">
      <c r="D11" s="23" t="s">
        <v>21</v>
      </c>
      <c r="E11" s="21"/>
      <c r="F11" s="21"/>
      <c r="G11" s="21"/>
      <c r="H11" s="22">
        <v>50</v>
      </c>
      <c r="L11" s="28"/>
      <c r="M11" s="10"/>
      <c r="R11" s="3">
        <f>R10</f>
        <v>12</v>
      </c>
      <c r="S11">
        <v>90</v>
      </c>
      <c r="T11">
        <f>H9+20</f>
        <v>290</v>
      </c>
      <c r="W11" s="3"/>
    </row>
    <row r="12" spans="4:23" x14ac:dyDescent="0.3">
      <c r="D12" s="23" t="s">
        <v>22</v>
      </c>
      <c r="E12" s="21"/>
      <c r="F12" s="21"/>
      <c r="G12" s="21"/>
      <c r="H12" s="22">
        <v>99</v>
      </c>
      <c r="L12" s="28"/>
      <c r="M12" s="10"/>
      <c r="R12" s="3"/>
      <c r="W12" s="3"/>
    </row>
    <row r="13" spans="4:23" x14ac:dyDescent="0.3">
      <c r="D13" s="31" t="s">
        <v>30</v>
      </c>
      <c r="E13" s="21"/>
      <c r="F13" s="21"/>
      <c r="G13" s="21"/>
      <c r="H13" s="32">
        <f>ATAN((H10-H11)/2/H12)</f>
        <v>0.15037142800713454</v>
      </c>
      <c r="L13" s="28"/>
      <c r="M13" s="10"/>
      <c r="R13" s="3"/>
      <c r="W13" s="3"/>
    </row>
    <row r="14" spans="4:23" x14ac:dyDescent="0.3">
      <c r="D14" s="24" t="s">
        <v>0</v>
      </c>
      <c r="E14" s="1"/>
      <c r="F14" s="1"/>
      <c r="G14" s="1"/>
      <c r="H14" s="18">
        <f>H9/H8</f>
        <v>1.35</v>
      </c>
      <c r="I14" s="1"/>
      <c r="J14" s="1"/>
      <c r="K14" s="1"/>
      <c r="L14" s="19"/>
      <c r="M14" s="20"/>
      <c r="R14" s="3"/>
    </row>
    <row r="19" spans="1:15" x14ac:dyDescent="0.3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3">
      <c r="D20" s="52" t="s">
        <v>12</v>
      </c>
      <c r="E20" s="53"/>
      <c r="F20" s="53"/>
      <c r="G20" s="53"/>
      <c r="H20" s="53"/>
      <c r="I20" s="53"/>
      <c r="J20" s="53"/>
      <c r="K20" s="53"/>
      <c r="L20" s="53"/>
      <c r="M20" s="37" t="s">
        <v>29</v>
      </c>
      <c r="O20" s="20"/>
    </row>
    <row r="21" spans="1:15" x14ac:dyDescent="0.3">
      <c r="A21" s="21"/>
      <c r="B21" s="21"/>
      <c r="C21" s="21"/>
      <c r="D21" s="60" t="s">
        <v>28</v>
      </c>
      <c r="E21" s="61"/>
      <c r="F21" s="46" t="s">
        <v>32</v>
      </c>
      <c r="G21" s="54" t="s">
        <v>23</v>
      </c>
      <c r="H21" s="55"/>
      <c r="I21" s="56"/>
      <c r="J21" s="57" t="s">
        <v>8</v>
      </c>
      <c r="K21" s="58"/>
      <c r="L21" s="59"/>
      <c r="M21" s="36"/>
      <c r="O21" s="20"/>
    </row>
    <row r="22" spans="1:15" ht="15.6" x14ac:dyDescent="0.35">
      <c r="A22" s="21"/>
      <c r="B22" s="21"/>
      <c r="C22" s="21"/>
      <c r="D22" s="30" t="s">
        <v>24</v>
      </c>
      <c r="E22" s="1" t="s">
        <v>3</v>
      </c>
      <c r="F22" s="5" t="s">
        <v>25</v>
      </c>
      <c r="G22" s="2" t="s">
        <v>2</v>
      </c>
      <c r="H22" s="2" t="s">
        <v>1</v>
      </c>
      <c r="I22" s="8" t="s">
        <v>4</v>
      </c>
      <c r="J22" s="7" t="s">
        <v>5</v>
      </c>
      <c r="K22" s="2" t="s">
        <v>6</v>
      </c>
      <c r="L22" s="8" t="s">
        <v>4</v>
      </c>
      <c r="M22" s="16" t="s">
        <v>19</v>
      </c>
      <c r="N22" s="43" t="s">
        <v>31</v>
      </c>
      <c r="O22" s="20"/>
    </row>
    <row r="23" spans="1:15" x14ac:dyDescent="0.3">
      <c r="A23" s="21"/>
      <c r="B23" s="21"/>
      <c r="C23" s="21"/>
      <c r="D23" s="20">
        <v>0</v>
      </c>
      <c r="E23" s="33">
        <f>$H$8/2*D23/100</f>
        <v>0</v>
      </c>
      <c r="F23" s="11">
        <f>H$11/2+E23*COS(L$8*PI()/180)*SIN(H$13)</f>
        <v>25</v>
      </c>
      <c r="G23" s="10">
        <f>IF(E23&lt;L$10,L$9*PI()/180,L$9*PI()/180-(E23-L$10)*SIN(L$8*PI()/180)/F23)</f>
        <v>1.2217304763960306</v>
      </c>
      <c r="H23" s="11">
        <f>G23*180/PI()</f>
        <v>70</v>
      </c>
      <c r="I23" s="13">
        <f>2*PI()*E23*TAN(G23)</f>
        <v>0</v>
      </c>
      <c r="J23" s="47" t="s">
        <v>18</v>
      </c>
      <c r="K23" s="48"/>
      <c r="L23" s="9">
        <f>H9</f>
        <v>270</v>
      </c>
      <c r="M23" s="25"/>
      <c r="O23" s="20"/>
    </row>
    <row r="24" spans="1:15" x14ac:dyDescent="0.3">
      <c r="A24" s="21"/>
      <c r="B24" s="21"/>
      <c r="C24" s="21"/>
      <c r="D24" s="20">
        <v>10</v>
      </c>
      <c r="E24" s="33">
        <f t="shared" ref="E24:E33" si="0">$H$8/2*D24/100</f>
        <v>10</v>
      </c>
      <c r="F24" s="11">
        <f t="shared" ref="F24:F33" si="1">H$11/2+E24*COS(L$8*PI()/180)*SIN(H$13)</f>
        <v>26.384021239136118</v>
      </c>
      <c r="G24" s="10">
        <f t="shared" ref="G24:G33" si="2">IF(E24&lt;L$10,L$9*PI()/180,L$9*PI()/180-(E24-L$10)*SIN(L$8*PI()/180)/F24)</f>
        <v>1.2217304763960306</v>
      </c>
      <c r="H24" s="11">
        <f t="shared" ref="H24:H33" si="3">G24*180/PI()</f>
        <v>70</v>
      </c>
      <c r="I24" s="13">
        <f t="shared" ref="I24:I33" si="4">2*PI()*E24*TAN(G24)</f>
        <v>172.62909753724963</v>
      </c>
      <c r="J24" s="10">
        <f>ATAN(H$9/(2*PI()*E24))</f>
        <v>1.3421550857695164</v>
      </c>
      <c r="K24" s="11">
        <f>J24*180/PI()</f>
        <v>76.899821866612299</v>
      </c>
      <c r="L24" s="6">
        <f>2*PI()*E24*TAN(J24)</f>
        <v>270.00000000000011</v>
      </c>
      <c r="M24" s="17">
        <f>IF(G24&lt;J24,I24+2*PI()*E24*(TAN(J24)-TAN(G24)),I24-2*PI()*E24*(TAN(G24)-TAN(J24)))</f>
        <v>270.00000000000011</v>
      </c>
      <c r="N24" s="26">
        <f>(I24-H$9)*100/H$9</f>
        <v>-36.063297208426057</v>
      </c>
      <c r="O24" s="45"/>
    </row>
    <row r="25" spans="1:15" x14ac:dyDescent="0.3">
      <c r="A25" s="21"/>
      <c r="B25" s="21"/>
      <c r="C25" s="21"/>
      <c r="D25" s="20">
        <v>20</v>
      </c>
      <c r="E25" s="33">
        <f t="shared" si="0"/>
        <v>20</v>
      </c>
      <c r="F25" s="11">
        <f t="shared" si="1"/>
        <v>27.768042478272239</v>
      </c>
      <c r="G25" s="10">
        <f t="shared" si="2"/>
        <v>1.1114790079565022</v>
      </c>
      <c r="H25" s="11">
        <f t="shared" si="3"/>
        <v>63.683056173295228</v>
      </c>
      <c r="I25" s="13">
        <f t="shared" si="4"/>
        <v>254.07200072321302</v>
      </c>
      <c r="J25" s="10">
        <f t="shared" ref="J25:J33" si="5">ATAN(H$9/(2*PI()*E25))</f>
        <v>1.1351924465725829</v>
      </c>
      <c r="K25" s="11">
        <f t="shared" ref="K25:K33" si="6">J25*180/PI()</f>
        <v>65.041736123739184</v>
      </c>
      <c r="L25" s="6">
        <f t="shared" ref="L25:L33" si="7">2*PI()*E25*TAN(J25)</f>
        <v>269.99999999999994</v>
      </c>
      <c r="M25" s="17">
        <f t="shared" ref="M25:M33" si="8">IF(G25&lt;J25,I25+2*PI()*E25*(TAN(J25)-TAN(G25)),I25-2*PI()*E25*(TAN(G25)-TAN(J25)))</f>
        <v>269.99999999999994</v>
      </c>
      <c r="N25" s="26">
        <f t="shared" ref="N25:N33" si="9">(I25-H$9)*100/H$9</f>
        <v>-5.8992589914025837</v>
      </c>
      <c r="O25" s="45"/>
    </row>
    <row r="26" spans="1:15" x14ac:dyDescent="0.3">
      <c r="A26" s="21"/>
      <c r="B26" s="21"/>
      <c r="C26" s="21"/>
      <c r="D26" s="20">
        <v>30</v>
      </c>
      <c r="E26" s="33">
        <f t="shared" si="0"/>
        <v>30</v>
      </c>
      <c r="F26" s="11">
        <f t="shared" si="1"/>
        <v>29.152063717408357</v>
      </c>
      <c r="G26" s="10">
        <f t="shared" si="2"/>
        <v>0.98544182632498201</v>
      </c>
      <c r="H26" s="11">
        <f t="shared" si="3"/>
        <v>56.461657604085332</v>
      </c>
      <c r="I26" s="13">
        <f t="shared" si="4"/>
        <v>284.37206812388894</v>
      </c>
      <c r="J26" s="10">
        <f t="shared" si="5"/>
        <v>0.96132535536746722</v>
      </c>
      <c r="K26" s="11">
        <f t="shared" si="6"/>
        <v>55.079885601469911</v>
      </c>
      <c r="L26" s="6">
        <f t="shared" si="7"/>
        <v>270</v>
      </c>
      <c r="M26" s="17">
        <f t="shared" si="8"/>
        <v>270</v>
      </c>
      <c r="N26" s="26">
        <f t="shared" si="9"/>
        <v>5.3229881940329395</v>
      </c>
      <c r="O26" s="45"/>
    </row>
    <row r="27" spans="1:15" x14ac:dyDescent="0.3">
      <c r="A27" s="21"/>
      <c r="B27" s="21"/>
      <c r="C27" s="21"/>
      <c r="D27" s="20">
        <v>40</v>
      </c>
      <c r="E27" s="33">
        <f t="shared" si="0"/>
        <v>40</v>
      </c>
      <c r="F27" s="11">
        <f t="shared" si="1"/>
        <v>30.536084956544478</v>
      </c>
      <c r="G27" s="10">
        <f t="shared" si="2"/>
        <v>0.87082969388016163</v>
      </c>
      <c r="H27" s="11">
        <f t="shared" si="3"/>
        <v>49.894866134002712</v>
      </c>
      <c r="I27" s="13">
        <f t="shared" si="4"/>
        <v>298.40662480928989</v>
      </c>
      <c r="J27" s="10">
        <f t="shared" si="5"/>
        <v>0.82120024953931647</v>
      </c>
      <c r="K27" s="11">
        <f t="shared" si="6"/>
        <v>47.05130843369286</v>
      </c>
      <c r="L27" s="6">
        <f t="shared" si="7"/>
        <v>270</v>
      </c>
      <c r="M27" s="17">
        <f t="shared" si="8"/>
        <v>270</v>
      </c>
      <c r="N27" s="26">
        <f t="shared" si="9"/>
        <v>10.52097215158885</v>
      </c>
      <c r="O27" s="45"/>
    </row>
    <row r="28" spans="1:15" x14ac:dyDescent="0.3">
      <c r="A28" s="21"/>
      <c r="B28" s="21"/>
      <c r="C28" s="21"/>
      <c r="D28" s="20">
        <v>50</v>
      </c>
      <c r="E28" s="33">
        <f t="shared" si="0"/>
        <v>50</v>
      </c>
      <c r="F28" s="11">
        <f t="shared" si="1"/>
        <v>31.920106195680596</v>
      </c>
      <c r="G28" s="10">
        <f t="shared" si="2"/>
        <v>0.7661564773395606</v>
      </c>
      <c r="H28" s="11">
        <f t="shared" si="3"/>
        <v>43.897532598167317</v>
      </c>
      <c r="I28" s="13">
        <f t="shared" si="4"/>
        <v>302.29615949388528</v>
      </c>
      <c r="J28" s="10">
        <f t="shared" si="5"/>
        <v>0.70994710302719632</v>
      </c>
      <c r="K28" s="11">
        <f t="shared" si="6"/>
        <v>40.676972680997778</v>
      </c>
      <c r="L28" s="6">
        <f t="shared" si="7"/>
        <v>270</v>
      </c>
      <c r="M28" s="17">
        <f t="shared" si="8"/>
        <v>270</v>
      </c>
      <c r="N28" s="26">
        <f t="shared" si="9"/>
        <v>11.961540553290845</v>
      </c>
      <c r="O28" s="45"/>
    </row>
    <row r="29" spans="1:15" x14ac:dyDescent="0.3">
      <c r="A29" s="21"/>
      <c r="B29" s="21"/>
      <c r="C29" s="21"/>
      <c r="D29" s="20">
        <v>60</v>
      </c>
      <c r="E29" s="33">
        <f t="shared" si="0"/>
        <v>60</v>
      </c>
      <c r="F29" s="11">
        <f t="shared" si="1"/>
        <v>33.304127434816714</v>
      </c>
      <c r="G29" s="10">
        <f t="shared" si="2"/>
        <v>0.67018308067230292</v>
      </c>
      <c r="H29" s="11">
        <f t="shared" si="3"/>
        <v>38.398662023598533</v>
      </c>
      <c r="I29" s="13">
        <f t="shared" si="4"/>
        <v>298.78514491862057</v>
      </c>
      <c r="J29" s="10">
        <f t="shared" si="5"/>
        <v>0.62151408457355639</v>
      </c>
      <c r="K29" s="11">
        <f t="shared" si="6"/>
        <v>35.610133954001689</v>
      </c>
      <c r="L29" s="6">
        <f t="shared" si="7"/>
        <v>270</v>
      </c>
      <c r="M29" s="17">
        <f t="shared" si="8"/>
        <v>270</v>
      </c>
      <c r="N29" s="26">
        <f t="shared" si="9"/>
        <v>10.661164784674286</v>
      </c>
      <c r="O29" s="45"/>
    </row>
    <row r="30" spans="1:15" x14ac:dyDescent="0.3">
      <c r="A30" s="21"/>
      <c r="B30" s="21"/>
      <c r="C30" s="21"/>
      <c r="D30" s="20">
        <v>70</v>
      </c>
      <c r="E30" s="33">
        <f t="shared" si="0"/>
        <v>70</v>
      </c>
      <c r="F30" s="11">
        <f t="shared" si="1"/>
        <v>34.688148673952831</v>
      </c>
      <c r="G30" s="10">
        <f t="shared" si="2"/>
        <v>0.5818681624455081</v>
      </c>
      <c r="H30" s="11">
        <f t="shared" si="3"/>
        <v>33.338589941160201</v>
      </c>
      <c r="I30" s="13">
        <f t="shared" si="4"/>
        <v>289.33392956713288</v>
      </c>
      <c r="J30" s="10">
        <f t="shared" si="5"/>
        <v>0.55056535356111702</v>
      </c>
      <c r="K30" s="11">
        <f t="shared" si="6"/>
        <v>31.545071105179975</v>
      </c>
      <c r="L30" s="6">
        <f t="shared" si="7"/>
        <v>270</v>
      </c>
      <c r="M30" s="17">
        <f t="shared" si="8"/>
        <v>270</v>
      </c>
      <c r="N30" s="26">
        <f t="shared" si="9"/>
        <v>7.1607146544936606</v>
      </c>
      <c r="O30" s="45"/>
    </row>
    <row r="31" spans="1:15" x14ac:dyDescent="0.3">
      <c r="A31" s="21"/>
      <c r="B31" s="21"/>
      <c r="C31" s="21"/>
      <c r="D31" s="20">
        <v>80</v>
      </c>
      <c r="E31" s="33">
        <f t="shared" si="0"/>
        <v>80</v>
      </c>
      <c r="F31" s="11">
        <f t="shared" si="1"/>
        <v>36.072169913088956</v>
      </c>
      <c r="G31" s="10">
        <f t="shared" si="2"/>
        <v>0.50033019846643123</v>
      </c>
      <c r="H31" s="11">
        <f t="shared" si="3"/>
        <v>28.666808735069363</v>
      </c>
      <c r="I31" s="13">
        <f t="shared" si="4"/>
        <v>274.81713183695342</v>
      </c>
      <c r="J31" s="10">
        <f t="shared" si="5"/>
        <v>0.49292246499766346</v>
      </c>
      <c r="K31" s="11">
        <f t="shared" si="6"/>
        <v>28.242376871551166</v>
      </c>
      <c r="L31" s="6">
        <f t="shared" si="7"/>
        <v>270</v>
      </c>
      <c r="M31" s="17">
        <f t="shared" si="8"/>
        <v>270</v>
      </c>
      <c r="N31" s="26">
        <f t="shared" si="9"/>
        <v>1.7841229025753416</v>
      </c>
      <c r="O31" s="45"/>
    </row>
    <row r="32" spans="1:15" x14ac:dyDescent="0.3">
      <c r="A32" s="21"/>
      <c r="B32" s="21"/>
      <c r="C32" s="21"/>
      <c r="D32" s="20">
        <v>90</v>
      </c>
      <c r="E32" s="33">
        <f t="shared" si="0"/>
        <v>90</v>
      </c>
      <c r="F32" s="11">
        <f t="shared" si="1"/>
        <v>37.456191152225074</v>
      </c>
      <c r="G32" s="10">
        <f t="shared" si="2"/>
        <v>0.42481795522784949</v>
      </c>
      <c r="H32" s="11">
        <f t="shared" si="3"/>
        <v>24.340275895933342</v>
      </c>
      <c r="I32" s="13">
        <f t="shared" si="4"/>
        <v>255.80572339473738</v>
      </c>
      <c r="J32" s="10">
        <f t="shared" si="5"/>
        <v>0.44545749391059813</v>
      </c>
      <c r="K32" s="11">
        <f t="shared" si="6"/>
        <v>25.522834353551843</v>
      </c>
      <c r="L32" s="6">
        <f t="shared" si="7"/>
        <v>269.99999999999994</v>
      </c>
      <c r="M32" s="17">
        <f t="shared" si="8"/>
        <v>269.99999999999994</v>
      </c>
      <c r="N32" s="26">
        <f t="shared" si="9"/>
        <v>-5.2571394834305991</v>
      </c>
      <c r="O32" s="45"/>
    </row>
    <row r="33" spans="1:15" x14ac:dyDescent="0.3">
      <c r="A33" s="21"/>
      <c r="B33" s="21"/>
      <c r="C33" s="21"/>
      <c r="D33" s="30">
        <v>100</v>
      </c>
      <c r="E33" s="34">
        <f t="shared" si="0"/>
        <v>100</v>
      </c>
      <c r="F33" s="11">
        <f t="shared" si="1"/>
        <v>38.840212391361192</v>
      </c>
      <c r="G33" s="10">
        <f t="shared" si="2"/>
        <v>0.35468727619926443</v>
      </c>
      <c r="H33" s="4">
        <f t="shared" si="3"/>
        <v>20.322083973208787</v>
      </c>
      <c r="I33" s="14">
        <f t="shared" si="4"/>
        <v>232.69743736429157</v>
      </c>
      <c r="J33" s="12">
        <f t="shared" si="5"/>
        <v>0.40586033155761975</v>
      </c>
      <c r="K33" s="4">
        <f t="shared" si="6"/>
        <v>23.254084070031865</v>
      </c>
      <c r="L33" s="5">
        <f t="shared" si="7"/>
        <v>270</v>
      </c>
      <c r="M33" s="35">
        <f t="shared" si="8"/>
        <v>270</v>
      </c>
      <c r="N33" s="44">
        <f t="shared" si="9"/>
        <v>-13.815763939151269</v>
      </c>
      <c r="O33" s="45"/>
    </row>
  </sheetData>
  <sheetProtection algorithmName="SHA-512" hashValue="znSQKkax0tosD4WWd+VSvG5DHBRn3oVRu+Y+1CUp7+M30vO+SGyj9VQtapn1a9waPwzQSzVXUaFVxSIp893FxA==" saltValue="PUEYvrBm/tckfum8Q9gVMg==" spinCount="100000" sheet="1" objects="1" scenarios="1"/>
  <protectedRanges>
    <protectedRange algorithmName="SHA-512" hashValue="dfoe5F7aXeSJtpVCc2YaVtQ8rt8QljY5qZ8iWlO1Utrej6kLHXH5NQ68yWW7ik9BSIoZoR4scMa1zAa3bAwnYQ==" saltValue="bFQocgvDi3SmJ3ARJEbRdA==" spinCount="100000" sqref="L8:L10" name="Område4"/>
    <protectedRange algorithmName="SHA-512" hashValue="1xFXFB4SSrtm5B8qq3CprZcfDe1xaUrhFVoP9thQkuZapvy+XAOBcIsqwA+jJQOlQVgzFjC5Twx+HboQ3dPUdw==" saltValue="HLmFWtXxLVblqcReB+TymA==" spinCount="100000" sqref="H8:H12" name="Område3"/>
    <protectedRange algorithmName="SHA-512" hashValue="4Xk58gQQbAq//9vmg7i1CggxpMGddn3EVWEsHSvOCZtUBpAN4739HvdnLh7cnCRJq+Q9icD5kldRlxNW+o6Ggg==" saltValue="RSCimClenhBBYBt9SynNJA==" spinCount="100000" sqref="L8:L13" name="Område2"/>
    <protectedRange algorithmName="SHA-512" hashValue="3V0WOQcV7zssFHcL4WptMUSTvOdNA3dFXB0ilSIKRqDL/sFwSyggn07gTrBvsnwnGfxBTsBi4T6pXtcqsC4UVQ==" saltValue="DKwZ8zE5C4X6SJyTyCbhTg==" spinCount="100000" sqref="H8:H13" name="Område1"/>
  </protectedRanges>
  <mergeCells count="7">
    <mergeCell ref="J23:K23"/>
    <mergeCell ref="D21:E21"/>
    <mergeCell ref="D7:H7"/>
    <mergeCell ref="J7:L7"/>
    <mergeCell ref="D20:L20"/>
    <mergeCell ref="G21:I21"/>
    <mergeCell ref="J21:L21"/>
  </mergeCells>
  <pageMargins left="0.7" right="0.7" top="0.75" bottom="0.75" header="0.3" footer="0.3"/>
  <pageSetup paperSize="9" scale="6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Cylindrisk</vt:lpstr>
      <vt:lpstr>Konisk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Ägaren</cp:lastModifiedBy>
  <cp:lastPrinted>2022-10-30T10:27:46Z</cp:lastPrinted>
  <dcterms:created xsi:type="dcterms:W3CDTF">2021-09-22T08:11:44Z</dcterms:created>
  <dcterms:modified xsi:type="dcterms:W3CDTF">2022-10-31T07:45:30Z</dcterms:modified>
</cp:coreProperties>
</file>